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ullinax\Documents\Exec Assistant Files\Board of Directors\PDR-Mail Out\2023-2024\09 September 2023\Uploads\"/>
    </mc:Choice>
  </mc:AlternateContent>
  <bookViews>
    <workbookView xWindow="0" yWindow="0" windowWidth="28800" windowHeight="11925"/>
  </bookViews>
  <sheets>
    <sheet name="Board.PC -CIS" sheetId="1" r:id="rId1"/>
    <sheet name="Classrooms" sheetId="2" r:id="rId2"/>
    <sheet name="Budget Reques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D5" i="1"/>
  <c r="C5" i="1"/>
  <c r="D29" i="3"/>
  <c r="F29" i="3" s="1"/>
  <c r="G29" i="3" s="1"/>
  <c r="G31" i="3" s="1"/>
  <c r="G28" i="3"/>
  <c r="F28" i="3"/>
  <c r="D28" i="3"/>
  <c r="G26" i="3"/>
  <c r="F26" i="3"/>
  <c r="F25" i="3"/>
  <c r="F24" i="3"/>
  <c r="D25" i="3"/>
  <c r="D24" i="3"/>
  <c r="C25" i="1"/>
  <c r="N27" i="3"/>
  <c r="P27" i="3" s="1"/>
  <c r="B18" i="3" s="1"/>
  <c r="R19" i="3"/>
  <c r="B19" i="3"/>
  <c r="B17" i="3"/>
  <c r="R10" i="3"/>
  <c r="S9" i="3"/>
  <c r="S8" i="3"/>
  <c r="S7" i="3"/>
  <c r="B5" i="3"/>
  <c r="S10" i="3" l="1"/>
  <c r="N12" i="3" s="1"/>
  <c r="S11" i="3" l="1"/>
  <c r="S12" i="3" s="1"/>
  <c r="S13" i="3" s="1"/>
  <c r="B7" i="3" s="1"/>
  <c r="B20" i="3" s="1"/>
  <c r="B19" i="2" l="1"/>
  <c r="K18" i="2"/>
  <c r="J18" i="2"/>
  <c r="J19" i="2" s="1"/>
  <c r="F20" i="2" s="1"/>
  <c r="I18" i="2"/>
  <c r="I19" i="2" s="1"/>
  <c r="F18" i="2"/>
  <c r="C18" i="2"/>
  <c r="C19" i="2" s="1"/>
  <c r="B18" i="2"/>
  <c r="G31" i="1"/>
  <c r="C29" i="1"/>
  <c r="F27" i="1"/>
  <c r="D27" i="1"/>
  <c r="C27" i="1"/>
  <c r="F26" i="1"/>
  <c r="D26" i="1"/>
  <c r="C26" i="1"/>
  <c r="F23" i="1"/>
  <c r="F22" i="1"/>
  <c r="D22" i="1"/>
  <c r="C22" i="1"/>
  <c r="F17" i="1"/>
  <c r="D13" i="1"/>
  <c r="C13" i="1"/>
  <c r="F10" i="1"/>
  <c r="F8" i="1"/>
  <c r="D8" i="1"/>
  <c r="C8" i="1"/>
  <c r="F4" i="1"/>
  <c r="D4" i="1"/>
  <c r="C4" i="1"/>
  <c r="F21" i="2" l="1"/>
  <c r="D23" i="1"/>
  <c r="D25" i="1"/>
  <c r="G22" i="1"/>
  <c r="F25" i="1"/>
  <c r="D28" i="1"/>
  <c r="D24" i="1"/>
  <c r="F24" i="1"/>
  <c r="C23" i="1"/>
  <c r="F28" i="1"/>
  <c r="C28" i="1" l="1"/>
  <c r="G24" i="1"/>
  <c r="G23" i="1"/>
  <c r="C34" i="1" s="1"/>
  <c r="D34" i="1" l="1"/>
  <c r="F34" i="1"/>
  <c r="G34" i="1" l="1"/>
  <c r="C33" i="1" l="1"/>
  <c r="C35" i="1" s="1"/>
  <c r="D33" i="1"/>
  <c r="D35" i="1" s="1"/>
  <c r="F33" i="1"/>
  <c r="G33" i="1"/>
  <c r="F35" i="1"/>
  <c r="G35" i="1" l="1"/>
</calcChain>
</file>

<file path=xl/sharedStrings.xml><?xml version="1.0" encoding="utf-8"?>
<sst xmlns="http://schemas.openxmlformats.org/spreadsheetml/2006/main" count="148" uniqueCount="135">
  <si>
    <t>NOTES</t>
  </si>
  <si>
    <t>EHS Grant</t>
  </si>
  <si>
    <t>Exp EHS Grant</t>
  </si>
  <si>
    <t>HS Grant</t>
  </si>
  <si>
    <t>Cost Per Child/Annual</t>
  </si>
  <si>
    <t>Not Served In Dollars</t>
  </si>
  <si>
    <t>Based on current enrollment</t>
  </si>
  <si>
    <t>Current Enrollment</t>
  </si>
  <si>
    <t>Under Enrolled</t>
  </si>
  <si>
    <t>Teaching Staff Down</t>
  </si>
  <si>
    <t>Projected Number Can Be Hired before 02/2024</t>
  </si>
  <si>
    <t>Going into the Holiday season- low to no applications forecating 3 TA positions</t>
  </si>
  <si>
    <t>Projected Children Served with hires</t>
  </si>
  <si>
    <t>Staff Still needed</t>
  </si>
  <si>
    <t>Based on number of Dual Enrolled and HS only classrroms</t>
  </si>
  <si>
    <t>Areas of Possible Reduction: Slots</t>
  </si>
  <si>
    <t>FCCH-Slots</t>
  </si>
  <si>
    <t>4 FCCHs- zero obtained</t>
  </si>
  <si>
    <t>Home Based Slots</t>
  </si>
  <si>
    <t>Head Start Slots</t>
  </si>
  <si>
    <t>Early Head Start -Slots</t>
  </si>
  <si>
    <t>CCP Slots</t>
  </si>
  <si>
    <t>Total Reduction</t>
  </si>
  <si>
    <t xml:space="preserve"> CIS Accepted Funded Enrollment</t>
  </si>
  <si>
    <t>Monies Per Child for Reduction</t>
  </si>
  <si>
    <t>Current Enrollment Percentage</t>
  </si>
  <si>
    <t>Projected Enrollment Feb, 2024</t>
  </si>
  <si>
    <t>Projected Enrollment With Change in Scope</t>
  </si>
  <si>
    <t>If All EXP EHS Allocated to EHS Grant</t>
  </si>
  <si>
    <t>Transfer 25 EXP EHS filled slots  to EHS grant- CFO-proposal for one Change in Scope in the Expansion Grant</t>
  </si>
  <si>
    <t>Teaching Staff Reduced with CIS</t>
  </si>
  <si>
    <t>Teaching Staff to Hire After Changes In Scope</t>
  </si>
  <si>
    <t>2024-2025</t>
  </si>
  <si>
    <t>IF CIS Approved Proposed Spending by Grant</t>
  </si>
  <si>
    <t>Percent of Funding by grant</t>
  </si>
  <si>
    <t>Possible Funds pulled by OHS</t>
  </si>
  <si>
    <t xml:space="preserve">Funded Enrollment (404) </t>
  </si>
  <si>
    <t>Total Grant funding for both = $8.5 million</t>
  </si>
  <si>
    <t>Location</t>
  </si>
  <si>
    <t>EHS</t>
  </si>
  <si>
    <t>HS</t>
  </si>
  <si>
    <t>NC PREK</t>
  </si>
  <si>
    <t>Currently Shutdown</t>
  </si>
  <si>
    <t xml:space="preserve">HS </t>
  </si>
  <si>
    <t>CLASSROOMS for longterm Shutdown</t>
  </si>
  <si>
    <t>Sugar Hill</t>
  </si>
  <si>
    <t>(losing  1 classroom - ECMHS pulling)</t>
  </si>
  <si>
    <t>6 dual enrolled</t>
  </si>
  <si>
    <t>King Creek</t>
  </si>
  <si>
    <t>Etowah</t>
  </si>
  <si>
    <t>Hillview</t>
  </si>
  <si>
    <t>(No Dual projected)</t>
  </si>
  <si>
    <t>(1 NC PREK Already Shutdown-Teacher Transferred to HS)</t>
  </si>
  <si>
    <t>Tebeau</t>
  </si>
  <si>
    <t>(14 Dual Needed)</t>
  </si>
  <si>
    <t>(7 Dual enrolled)</t>
  </si>
  <si>
    <t>Flat Rock</t>
  </si>
  <si>
    <t xml:space="preserve"> </t>
  </si>
  <si>
    <t>Forest City</t>
  </si>
  <si>
    <t>Columbus</t>
  </si>
  <si>
    <t>(8 slot EHS, 11 Exp EHS)</t>
  </si>
  <si>
    <t>To Open Winter 2025</t>
  </si>
  <si>
    <t>Dana</t>
  </si>
  <si>
    <t>Hillandale</t>
  </si>
  <si>
    <t>Fletcher</t>
  </si>
  <si>
    <t>(No Dual Enrolled projected)</t>
  </si>
  <si>
    <t>Edneyville</t>
  </si>
  <si>
    <t>(6 Dual Enrolled)- Have the teacher, need TA</t>
  </si>
  <si>
    <t>Clear Creek</t>
  </si>
  <si>
    <t>BDS</t>
  </si>
  <si>
    <t>With Home Based</t>
  </si>
  <si>
    <t>FCCH/CCP 4 slots</t>
  </si>
  <si>
    <t>Total</t>
  </si>
  <si>
    <t xml:space="preserve">EHS </t>
  </si>
  <si>
    <t>Classrooms</t>
  </si>
  <si>
    <t>Children Impact</t>
  </si>
  <si>
    <t>Total Classroom Slot for Reduction</t>
  </si>
  <si>
    <t>(Includes HB)</t>
  </si>
  <si>
    <t>Total Slot Reduction</t>
  </si>
  <si>
    <t>(Dual)</t>
  </si>
  <si>
    <t xml:space="preserve">Retention Bonuses- 2 per year </t>
  </si>
  <si>
    <t>Referral Bonuses to Employees making Referrals x 15 employees</t>
  </si>
  <si>
    <t xml:space="preserve">Teacher Hiring Bonuses 3 x $3,500 ,2 x $4000, 5 x $2000, </t>
  </si>
  <si>
    <t>Increase FA staff to reduce Caseloads = 12 FA s 30/per caseload</t>
  </si>
  <si>
    <t>(4 added at $20/hr)</t>
  </si>
  <si>
    <t>3% Merrit Increases with employer FICA</t>
  </si>
  <si>
    <t>Recruitment Outreach for families and staff marketing</t>
  </si>
  <si>
    <t>Transportation Start-up ages 3-5</t>
  </si>
  <si>
    <t>Transportation - 2 Buses for ages 3 to 5 - Tranyslvania and Henderson County</t>
  </si>
  <si>
    <t xml:space="preserve">Apprenticeship funding gap- covers PTO, health benefits and other hours not covered </t>
  </si>
  <si>
    <t xml:space="preserve">Forecasting </t>
  </si>
  <si>
    <t>Stipend for 12 Month EHS teaching staff</t>
  </si>
  <si>
    <t xml:space="preserve">Staff to Hire </t>
  </si>
  <si>
    <t>Grants</t>
  </si>
  <si>
    <t>Expansion</t>
  </si>
  <si>
    <t>NCPREK</t>
  </si>
  <si>
    <t xml:space="preserve">Teacher Aides </t>
  </si>
  <si>
    <t>Rate of pay</t>
  </si>
  <si>
    <t xml:space="preserve">Annual </t>
  </si>
  <si>
    <t>Benefits</t>
  </si>
  <si>
    <t>Retention Bonuses</t>
  </si>
  <si>
    <t>#</t>
  </si>
  <si>
    <t>1 Payout</t>
  </si>
  <si>
    <r>
      <t>●</t>
    </r>
    <r>
      <rPr>
        <sz val="12"/>
        <color rgb="FF000000"/>
        <rFont val="Lato"/>
      </rPr>
      <t>Less than 1 year of service = $750</t>
    </r>
  </si>
  <si>
    <r>
      <t>●</t>
    </r>
    <r>
      <rPr>
        <sz val="12"/>
        <color rgb="FF000000"/>
        <rFont val="Lato"/>
      </rPr>
      <t>1-3 years of service = $1000</t>
    </r>
  </si>
  <si>
    <t>HS and NCPREK/HS classrooms</t>
  </si>
  <si>
    <r>
      <t>●</t>
    </r>
    <r>
      <rPr>
        <sz val="12"/>
        <color rgb="FF000000"/>
        <rFont val="Lato"/>
      </rPr>
      <t>3 years and over = $1500</t>
    </r>
  </si>
  <si>
    <t>Retirement Match</t>
  </si>
  <si>
    <t>FICA</t>
  </si>
  <si>
    <t xml:space="preserve">with retirement </t>
  </si>
  <si>
    <t>Summer Stipend</t>
  </si>
  <si>
    <t>Current EHS</t>
  </si>
  <si>
    <t>$1200 paid out after the 8 weeks</t>
  </si>
  <si>
    <t>Turnover</t>
  </si>
  <si>
    <t>Hire before CIS</t>
  </si>
  <si>
    <t>After CIS</t>
  </si>
  <si>
    <t>Stipend for HS/Floater/Cook staff to work in Summer</t>
  </si>
  <si>
    <t>14 staff 10 Months with benefits</t>
  </si>
  <si>
    <t xml:space="preserve">(CCP grant projected to be 87% to 97% enrolled no change in scope) </t>
  </si>
  <si>
    <t>Percent of Grant Reduction</t>
  </si>
  <si>
    <t>Staff Reduced</t>
  </si>
  <si>
    <t>AVG Rate of Pay</t>
  </si>
  <si>
    <t xml:space="preserve"> Total out of Budget</t>
  </si>
  <si>
    <t>10 month employees NC PREK</t>
  </si>
  <si>
    <t>10 Month T.A.s</t>
  </si>
  <si>
    <t>15 Dual Enrolled children</t>
  </si>
  <si>
    <t>2 HB</t>
  </si>
  <si>
    <t>Allocated to Grants</t>
  </si>
  <si>
    <t xml:space="preserve">Teacher Aides  </t>
  </si>
  <si>
    <t>(HS currently using subs)</t>
  </si>
  <si>
    <t>Total Grant Funding</t>
  </si>
  <si>
    <t>*</t>
  </si>
  <si>
    <t>* two home based staff, supplies, auto, rent, phones</t>
  </si>
  <si>
    <t>8 EHS teachers</t>
  </si>
  <si>
    <t>Equals 5 classrooms- two at Tebeau, 1 Forest City, and 1 at Hillview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</si>
</sst>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rgb="FF000000"/>
      <name val="Lato"/>
    </font>
    <font>
      <sz val="12"/>
      <color rgb="FF000000"/>
      <name val="Lato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8" fontId="3" fillId="0" borderId="6" xfId="0" applyNumberFormat="1" applyFont="1" applyBorder="1"/>
    <xf numFmtId="0" fontId="3" fillId="0" borderId="6" xfId="0" applyFont="1" applyBorder="1"/>
    <xf numFmtId="0" fontId="0" fillId="0" borderId="5" xfId="0" applyBorder="1" applyAlignment="1">
      <alignment horizontal="left"/>
    </xf>
    <xf numFmtId="8" fontId="4" fillId="0" borderId="0" xfId="0" applyNumberFormat="1" applyFont="1" applyFill="1" applyBorder="1"/>
    <xf numFmtId="0" fontId="4" fillId="0" borderId="0" xfId="0" applyFont="1" applyFill="1" applyBorder="1"/>
    <xf numFmtId="0" fontId="1" fillId="0" borderId="4" xfId="0" applyFont="1" applyFill="1" applyBorder="1"/>
    <xf numFmtId="0" fontId="0" fillId="0" borderId="0" xfId="0" applyFill="1" applyBorder="1"/>
    <xf numFmtId="8" fontId="1" fillId="0" borderId="0" xfId="0" applyNumberFormat="1" applyFont="1" applyFill="1" applyBorder="1"/>
    <xf numFmtId="0" fontId="1" fillId="0" borderId="0" xfId="0" applyFont="1" applyFill="1" applyBorder="1"/>
    <xf numFmtId="0" fontId="0" fillId="0" borderId="5" xfId="0" applyFill="1" applyBorder="1" applyAlignment="1">
      <alignment horizontal="left"/>
    </xf>
    <xf numFmtId="0" fontId="0" fillId="0" borderId="0" xfId="0" applyFill="1"/>
    <xf numFmtId="1" fontId="1" fillId="0" borderId="0" xfId="0" applyNumberFormat="1" applyFont="1" applyFill="1" applyBorder="1" applyAlignment="1">
      <alignment horizontal="center"/>
    </xf>
    <xf numFmtId="15" fontId="0" fillId="0" borderId="5" xfId="0" applyNumberForma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/>
    <xf numFmtId="1" fontId="6" fillId="5" borderId="0" xfId="0" applyNumberFormat="1" applyFont="1" applyFill="1" applyBorder="1" applyAlignment="1">
      <alignment horizontal="center"/>
    </xf>
    <xf numFmtId="0" fontId="6" fillId="6" borderId="1" xfId="0" applyFont="1" applyFill="1" applyBorder="1"/>
    <xf numFmtId="0" fontId="0" fillId="6" borderId="2" xfId="0" applyFill="1" applyBorder="1"/>
    <xf numFmtId="0" fontId="0" fillId="6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0" fillId="6" borderId="0" xfId="0" applyFill="1" applyBorder="1"/>
    <xf numFmtId="0" fontId="1" fillId="6" borderId="0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0" fillId="6" borderId="7" xfId="0" applyFill="1" applyBorder="1"/>
    <xf numFmtId="0" fontId="0" fillId="6" borderId="8" xfId="0" applyFill="1" applyBorder="1"/>
    <xf numFmtId="0" fontId="1" fillId="6" borderId="8" xfId="0" applyFont="1" applyFill="1" applyBorder="1" applyAlignment="1">
      <alignment horizontal="center"/>
    </xf>
    <xf numFmtId="0" fontId="0" fillId="6" borderId="9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7" borderId="4" xfId="0" applyFont="1" applyFill="1" applyBorder="1"/>
    <xf numFmtId="0" fontId="0" fillId="7" borderId="0" xfId="0" applyFill="1" applyBorder="1"/>
    <xf numFmtId="0" fontId="1" fillId="7" borderId="0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left"/>
    </xf>
    <xf numFmtId="8" fontId="1" fillId="0" borderId="0" xfId="0" applyNumberFormat="1" applyFont="1" applyBorder="1" applyAlignment="1">
      <alignment horizontal="center"/>
    </xf>
    <xf numFmtId="8" fontId="1" fillId="0" borderId="5" xfId="0" applyNumberFormat="1" applyFont="1" applyBorder="1" applyAlignment="1">
      <alignment horizontal="left"/>
    </xf>
    <xf numFmtId="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" fontId="7" fillId="0" borderId="5" xfId="0" applyNumberFormat="1" applyFont="1" applyBorder="1" applyAlignment="1">
      <alignment horizontal="left"/>
    </xf>
    <xf numFmtId="0" fontId="1" fillId="8" borderId="4" xfId="0" applyFont="1" applyFill="1" applyBorder="1"/>
    <xf numFmtId="0" fontId="0" fillId="8" borderId="0" xfId="0" applyFill="1" applyBorder="1"/>
    <xf numFmtId="9" fontId="1" fillId="8" borderId="0" xfId="0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1" fillId="0" borderId="5" xfId="0" applyNumberFormat="1" applyFont="1" applyBorder="1" applyAlignment="1">
      <alignment horizontal="left"/>
    </xf>
    <xf numFmtId="9" fontId="0" fillId="0" borderId="0" xfId="0" applyNumberFormat="1" applyBorder="1" applyAlignment="1">
      <alignment horizontal="center"/>
    </xf>
    <xf numFmtId="9" fontId="0" fillId="0" borderId="5" xfId="0" applyNumberFormat="1" applyBorder="1" applyAlignment="1">
      <alignment horizontal="left"/>
    </xf>
    <xf numFmtId="0" fontId="1" fillId="3" borderId="4" xfId="0" applyFont="1" applyFill="1" applyBorder="1"/>
    <xf numFmtId="0" fontId="0" fillId="3" borderId="0" xfId="0" applyFill="1" applyBorder="1"/>
    <xf numFmtId="8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8" fontId="1" fillId="3" borderId="5" xfId="0" applyNumberFormat="1" applyFont="1" applyFill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7" borderId="10" xfId="0" applyFont="1" applyFill="1" applyBorder="1"/>
    <xf numFmtId="0" fontId="1" fillId="7" borderId="11" xfId="0" applyFont="1" applyFill="1" applyBorder="1"/>
    <xf numFmtId="0" fontId="1" fillId="7" borderId="12" xfId="0" applyFont="1" applyFill="1" applyBorder="1"/>
    <xf numFmtId="0" fontId="0" fillId="7" borderId="13" xfId="0" applyFill="1" applyBorder="1"/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0" fillId="7" borderId="12" xfId="0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14" xfId="0" applyBorder="1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/>
    <xf numFmtId="0" fontId="0" fillId="0" borderId="9" xfId="0" applyBorder="1"/>
    <xf numFmtId="0" fontId="0" fillId="0" borderId="1" xfId="0" applyBorder="1"/>
    <xf numFmtId="164" fontId="0" fillId="0" borderId="2" xfId="0" applyNumberFormat="1" applyFont="1" applyBorder="1"/>
    <xf numFmtId="164" fontId="0" fillId="0" borderId="0" xfId="0" applyNumberFormat="1" applyFont="1" applyBorder="1"/>
    <xf numFmtId="164" fontId="0" fillId="0" borderId="6" xfId="0" applyNumberFormat="1" applyFont="1" applyBorder="1"/>
    <xf numFmtId="164" fontId="1" fillId="0" borderId="0" xfId="0" applyNumberFormat="1" applyFont="1" applyBorder="1"/>
    <xf numFmtId="8" fontId="1" fillId="0" borderId="0" xfId="0" applyNumberFormat="1" applyFont="1" applyBorder="1"/>
    <xf numFmtId="0" fontId="1" fillId="0" borderId="2" xfId="0" applyFont="1" applyBorder="1"/>
    <xf numFmtId="0" fontId="0" fillId="0" borderId="6" xfId="0" applyBorder="1"/>
    <xf numFmtId="0" fontId="1" fillId="0" borderId="8" xfId="0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0" fillId="0" borderId="5" xfId="0" applyNumberFormat="1" applyBorder="1" applyAlignment="1">
      <alignment horizontal="center"/>
    </xf>
    <xf numFmtId="0" fontId="8" fillId="0" borderId="4" xfId="0" applyFont="1" applyBorder="1" applyAlignment="1">
      <alignment horizontal="left" vertical="center" indent="5" readingOrder="1"/>
    </xf>
    <xf numFmtId="0" fontId="10" fillId="0" borderId="0" xfId="0" applyFont="1" applyBorder="1"/>
    <xf numFmtId="164" fontId="0" fillId="0" borderId="0" xfId="0" applyNumberFormat="1" applyBorder="1"/>
    <xf numFmtId="164" fontId="0" fillId="0" borderId="6" xfId="0" applyNumberFormat="1" applyBorder="1"/>
    <xf numFmtId="164" fontId="0" fillId="0" borderId="15" xfId="0" applyNumberFormat="1" applyBorder="1"/>
    <xf numFmtId="164" fontId="1" fillId="0" borderId="8" xfId="0" applyNumberFormat="1" applyFont="1" applyBorder="1"/>
    <xf numFmtId="0" fontId="0" fillId="0" borderId="6" xfId="0" applyFill="1" applyBorder="1"/>
    <xf numFmtId="10" fontId="1" fillId="0" borderId="0" xfId="0" applyNumberFormat="1" applyFont="1" applyBorder="1" applyAlignment="1">
      <alignment horizontal="center"/>
    </xf>
    <xf numFmtId="10" fontId="0" fillId="0" borderId="0" xfId="0" applyNumberFormat="1" applyBorder="1"/>
    <xf numFmtId="8" fontId="0" fillId="0" borderId="0" xfId="0" applyNumberFormat="1" applyBorder="1"/>
    <xf numFmtId="8" fontId="0" fillId="0" borderId="6" xfId="0" applyNumberFormat="1" applyBorder="1"/>
    <xf numFmtId="0" fontId="0" fillId="8" borderId="10" xfId="0" applyFill="1" applyBorder="1"/>
    <xf numFmtId="0" fontId="1" fillId="8" borderId="11" xfId="0" applyFont="1" applyFill="1" applyBorder="1"/>
    <xf numFmtId="0" fontId="1" fillId="8" borderId="12" xfId="0" applyFont="1" applyFill="1" applyBorder="1"/>
    <xf numFmtId="0" fontId="1" fillId="8" borderId="2" xfId="0" applyFont="1" applyFill="1" applyBorder="1"/>
    <xf numFmtId="0" fontId="0" fillId="8" borderId="2" xfId="0" applyFill="1" applyBorder="1"/>
    <xf numFmtId="0" fontId="0" fillId="8" borderId="3" xfId="0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1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carter/Documents/Under%20Enrollment/Change%20In%20Scope.08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"/>
      <sheetName val="Classrooms Shutdown by Site"/>
      <sheetName val="Revised CIS"/>
      <sheetName val="Budget for Funds"/>
    </sheetNames>
    <sheetDataSet>
      <sheetData sheetId="0">
        <row r="33">
          <cell r="C33">
            <v>0.34909090909090912</v>
          </cell>
          <cell r="D33">
            <v>0.15636363636363637</v>
          </cell>
          <cell r="F33">
            <v>0.49454545454545457</v>
          </cell>
        </row>
      </sheetData>
      <sheetData sheetId="1">
        <row r="20">
          <cell r="F20">
            <v>49</v>
          </cell>
        </row>
      </sheetData>
      <sheetData sheetId="2"/>
      <sheetData sheetId="3">
        <row r="20">
          <cell r="B20">
            <v>1934457.15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zoomScale="130" zoomScaleNormal="130" workbookViewId="0">
      <selection activeCell="G18" sqref="G18"/>
    </sheetView>
  </sheetViews>
  <sheetFormatPr defaultRowHeight="15"/>
  <cols>
    <col min="1" max="1" width="44.7109375" customWidth="1"/>
    <col min="2" max="2" width="2.85546875" customWidth="1"/>
    <col min="3" max="3" width="18" customWidth="1"/>
    <col min="4" max="4" width="16.5703125" customWidth="1"/>
    <col min="5" max="5" width="5.28515625" customWidth="1"/>
    <col min="6" max="6" width="16.140625" customWidth="1"/>
    <col min="7" max="7" width="72.140625" customWidth="1"/>
  </cols>
  <sheetData>
    <row r="1" spans="1:7">
      <c r="A1" s="1" t="s">
        <v>36</v>
      </c>
      <c r="B1" s="2"/>
      <c r="C1" s="3">
        <v>120</v>
      </c>
      <c r="D1" s="3">
        <v>99</v>
      </c>
      <c r="E1" s="2"/>
      <c r="F1" s="3">
        <v>185</v>
      </c>
      <c r="G1" s="4" t="s">
        <v>0</v>
      </c>
    </row>
    <row r="2" spans="1:7">
      <c r="A2" s="5"/>
      <c r="B2" s="6"/>
      <c r="C2" s="7" t="s">
        <v>1</v>
      </c>
      <c r="D2" s="7" t="s">
        <v>2</v>
      </c>
      <c r="E2" s="8"/>
      <c r="F2" s="7" t="s">
        <v>3</v>
      </c>
      <c r="G2" s="9"/>
    </row>
    <row r="3" spans="1:7">
      <c r="A3" s="10" t="s">
        <v>4</v>
      </c>
      <c r="B3" s="6"/>
      <c r="C3" s="11">
        <v>29213.24</v>
      </c>
      <c r="D3" s="11">
        <v>24140.84</v>
      </c>
      <c r="E3" s="12"/>
      <c r="F3" s="11">
        <v>14533.42</v>
      </c>
      <c r="G3" s="13" t="s">
        <v>37</v>
      </c>
    </row>
    <row r="4" spans="1:7" hidden="1">
      <c r="A4" s="10" t="s">
        <v>5</v>
      </c>
      <c r="B4" s="6"/>
      <c r="C4" s="14">
        <f>C8*C3</f>
        <v>-1840434.12</v>
      </c>
      <c r="D4" s="14">
        <f>D3*D8</f>
        <v>-1786422.16</v>
      </c>
      <c r="E4" s="15"/>
      <c r="F4" s="14">
        <f>F3*F8</f>
        <v>-1191740.44</v>
      </c>
      <c r="G4" s="13" t="s">
        <v>6</v>
      </c>
    </row>
    <row r="5" spans="1:7">
      <c r="A5" s="10" t="s">
        <v>130</v>
      </c>
      <c r="B5" s="6"/>
      <c r="C5" s="14">
        <f>C3*C1</f>
        <v>3505588.8000000003</v>
      </c>
      <c r="D5" s="14">
        <f>D3*D1</f>
        <v>2389943.16</v>
      </c>
      <c r="E5" s="15"/>
      <c r="F5" s="14">
        <f>F3*F1</f>
        <v>2688682.7</v>
      </c>
      <c r="G5" s="51">
        <f>C5+D5+F5</f>
        <v>8584214.6600000001</v>
      </c>
    </row>
    <row r="6" spans="1:7" s="21" customFormat="1">
      <c r="A6" s="16"/>
      <c r="B6" s="17"/>
      <c r="C6" s="18"/>
      <c r="D6" s="18"/>
      <c r="E6" s="19"/>
      <c r="F6" s="18"/>
      <c r="G6" s="20"/>
    </row>
    <row r="7" spans="1:7" s="21" customFormat="1">
      <c r="A7" s="16" t="s">
        <v>7</v>
      </c>
      <c r="B7" s="17"/>
      <c r="C7" s="22">
        <v>57</v>
      </c>
      <c r="D7" s="22">
        <v>25</v>
      </c>
      <c r="E7" s="22"/>
      <c r="F7" s="22">
        <v>103</v>
      </c>
      <c r="G7" s="23">
        <v>45169</v>
      </c>
    </row>
    <row r="8" spans="1:7" s="21" customFormat="1">
      <c r="A8" s="16" t="s">
        <v>8</v>
      </c>
      <c r="B8" s="17"/>
      <c r="C8" s="22">
        <f>C7-C1</f>
        <v>-63</v>
      </c>
      <c r="D8" s="22">
        <f>D7-D1</f>
        <v>-74</v>
      </c>
      <c r="E8" s="22"/>
      <c r="F8" s="22">
        <f>F7-F1</f>
        <v>-82</v>
      </c>
      <c r="G8" s="13"/>
    </row>
    <row r="9" spans="1:7" s="21" customFormat="1" ht="15.75">
      <c r="A9" s="16" t="s">
        <v>9</v>
      </c>
      <c r="B9" s="17"/>
      <c r="C9" s="22">
        <v>-14</v>
      </c>
      <c r="D9" s="22">
        <v>-15</v>
      </c>
      <c r="E9" s="22"/>
      <c r="F9" s="22">
        <v>-14</v>
      </c>
      <c r="G9" s="24"/>
    </row>
    <row r="10" spans="1:7">
      <c r="A10" s="25"/>
      <c r="B10" s="6"/>
      <c r="C10" s="6"/>
      <c r="D10" s="6"/>
      <c r="E10" s="6"/>
      <c r="F10" s="26">
        <f>C9+D9+F9</f>
        <v>-43</v>
      </c>
      <c r="G10" s="45" t="s">
        <v>72</v>
      </c>
    </row>
    <row r="11" spans="1:7">
      <c r="A11" s="10" t="s">
        <v>10</v>
      </c>
      <c r="B11" s="6"/>
      <c r="C11" s="27">
        <v>2</v>
      </c>
      <c r="D11" s="27">
        <v>2</v>
      </c>
      <c r="E11" s="28"/>
      <c r="F11" s="27">
        <v>3</v>
      </c>
      <c r="G11" s="13" t="s">
        <v>11</v>
      </c>
    </row>
    <row r="12" spans="1:7">
      <c r="A12" s="5" t="s">
        <v>12</v>
      </c>
      <c r="B12" s="6"/>
      <c r="C12" s="29">
        <v>8</v>
      </c>
      <c r="D12" s="29">
        <v>8</v>
      </c>
      <c r="E12" s="30"/>
      <c r="F12" s="29">
        <v>0</v>
      </c>
      <c r="G12" s="13" t="s">
        <v>129</v>
      </c>
    </row>
    <row r="13" spans="1:7" ht="15.75" thickBot="1">
      <c r="A13" s="5" t="s">
        <v>13</v>
      </c>
      <c r="B13" s="6"/>
      <c r="C13" s="31">
        <f>C9+C11</f>
        <v>-12</v>
      </c>
      <c r="D13" s="31">
        <f>D9+D11</f>
        <v>-13</v>
      </c>
      <c r="E13" s="31"/>
      <c r="F13" s="31">
        <v>-6</v>
      </c>
      <c r="G13" s="20" t="s">
        <v>14</v>
      </c>
    </row>
    <row r="14" spans="1:7">
      <c r="A14" s="32" t="s">
        <v>15</v>
      </c>
      <c r="B14" s="33"/>
      <c r="C14" s="34"/>
      <c r="D14" s="34"/>
      <c r="E14" s="34"/>
      <c r="F14" s="34"/>
      <c r="G14" s="35"/>
    </row>
    <row r="15" spans="1:7">
      <c r="A15" s="36" t="s">
        <v>16</v>
      </c>
      <c r="B15" s="37"/>
      <c r="C15" s="38"/>
      <c r="D15" s="38">
        <v>12</v>
      </c>
      <c r="E15" s="38"/>
      <c r="F15" s="38"/>
      <c r="G15" s="39" t="s">
        <v>17</v>
      </c>
    </row>
    <row r="16" spans="1:7">
      <c r="A16" s="36" t="s">
        <v>18</v>
      </c>
      <c r="B16" s="37"/>
      <c r="C16" s="38">
        <v>24</v>
      </c>
      <c r="D16" s="38"/>
      <c r="E16" s="38"/>
      <c r="F16" s="38"/>
      <c r="G16" s="39"/>
    </row>
    <row r="17" spans="1:7">
      <c r="A17" s="36" t="s">
        <v>19</v>
      </c>
      <c r="B17" s="37"/>
      <c r="C17" s="38"/>
      <c r="D17" s="38"/>
      <c r="E17" s="38"/>
      <c r="F17" s="38">
        <f>'[1]Classrooms Shutdown by Site'!N15</f>
        <v>0</v>
      </c>
      <c r="G17" s="39"/>
    </row>
    <row r="18" spans="1:7">
      <c r="A18" s="36" t="s">
        <v>20</v>
      </c>
      <c r="B18" s="37"/>
      <c r="C18" s="38"/>
      <c r="D18" s="38">
        <v>32</v>
      </c>
      <c r="E18" s="38"/>
      <c r="F18" s="38"/>
      <c r="G18" s="39" t="s">
        <v>134</v>
      </c>
    </row>
    <row r="19" spans="1:7">
      <c r="A19" s="36" t="s">
        <v>21</v>
      </c>
      <c r="B19" s="37"/>
      <c r="C19" s="38"/>
      <c r="D19" s="38">
        <v>4</v>
      </c>
      <c r="E19" s="38"/>
      <c r="F19" s="38"/>
      <c r="G19" s="39"/>
    </row>
    <row r="20" spans="1:7" ht="15.75" thickBot="1">
      <c r="A20" s="40"/>
      <c r="B20" s="41"/>
      <c r="C20" s="42"/>
      <c r="D20" s="42"/>
      <c r="E20" s="42"/>
      <c r="F20" s="42"/>
      <c r="G20" s="43"/>
    </row>
    <row r="21" spans="1:7">
      <c r="A21" s="5"/>
      <c r="B21" s="6"/>
      <c r="C21" s="44"/>
      <c r="D21" s="44"/>
      <c r="E21" s="44"/>
      <c r="F21" s="44"/>
      <c r="G21" s="13"/>
    </row>
    <row r="22" spans="1:7">
      <c r="A22" s="10" t="s">
        <v>22</v>
      </c>
      <c r="B22" s="6"/>
      <c r="C22" s="7">
        <f>SUM(C14:C21)</f>
        <v>24</v>
      </c>
      <c r="D22" s="7">
        <f>SUM(D15:D21)</f>
        <v>48</v>
      </c>
      <c r="E22" s="7"/>
      <c r="F22" s="7">
        <f>'[1]Classrooms Shutdown by Site'!F20</f>
        <v>49</v>
      </c>
      <c r="G22" s="45">
        <f>F22+D22+C22</f>
        <v>121</v>
      </c>
    </row>
    <row r="23" spans="1:7">
      <c r="A23" s="46" t="s">
        <v>23</v>
      </c>
      <c r="B23" s="47"/>
      <c r="C23" s="48">
        <f>C1-C22</f>
        <v>96</v>
      </c>
      <c r="D23" s="48">
        <f>D1-D22</f>
        <v>51</v>
      </c>
      <c r="E23" s="48"/>
      <c r="F23" s="48">
        <f>F1-F22</f>
        <v>136</v>
      </c>
      <c r="G23" s="49">
        <f>F23+D23+C23</f>
        <v>283</v>
      </c>
    </row>
    <row r="24" spans="1:7">
      <c r="A24" s="10" t="s">
        <v>24</v>
      </c>
      <c r="B24" s="8" t="s">
        <v>131</v>
      </c>
      <c r="C24" s="50">
        <v>120494</v>
      </c>
      <c r="D24" s="50">
        <f>D22*D3</f>
        <v>1158760.32</v>
      </c>
      <c r="E24" s="7"/>
      <c r="F24" s="50">
        <f>F22*F3</f>
        <v>712137.58</v>
      </c>
      <c r="G24" s="51">
        <f>F24+D24+C24</f>
        <v>1991391.9</v>
      </c>
    </row>
    <row r="25" spans="1:7">
      <c r="A25" s="10" t="s">
        <v>119</v>
      </c>
      <c r="B25" s="6"/>
      <c r="C25" s="113">
        <f>C22/C1</f>
        <v>0.2</v>
      </c>
      <c r="D25" s="113">
        <f>D22/D1</f>
        <v>0.48484848484848486</v>
      </c>
      <c r="E25" s="113"/>
      <c r="F25" s="113">
        <f>F22/F1</f>
        <v>0.26486486486486488</v>
      </c>
      <c r="G25" s="13"/>
    </row>
    <row r="26" spans="1:7">
      <c r="A26" s="10" t="s">
        <v>25</v>
      </c>
      <c r="B26" s="6"/>
      <c r="C26" s="52">
        <f>C7/C1</f>
        <v>0.47499999999999998</v>
      </c>
      <c r="D26" s="52">
        <f>D7/D1</f>
        <v>0.25252525252525254</v>
      </c>
      <c r="E26" s="53"/>
      <c r="F26" s="52">
        <f>F7/F1</f>
        <v>0.55675675675675673</v>
      </c>
      <c r="G26" s="13"/>
    </row>
    <row r="27" spans="1:7">
      <c r="A27" s="10" t="s">
        <v>26</v>
      </c>
      <c r="B27" s="6"/>
      <c r="C27" s="52">
        <f>(C12+C7)/C1</f>
        <v>0.54166666666666663</v>
      </c>
      <c r="D27" s="52">
        <f>(D12+D7)/D1</f>
        <v>0.33333333333333331</v>
      </c>
      <c r="E27" s="7"/>
      <c r="F27" s="52">
        <f>(F12+F7)/F1</f>
        <v>0.55675675675675673</v>
      </c>
      <c r="G27" s="45" t="s">
        <v>118</v>
      </c>
    </row>
    <row r="28" spans="1:7" ht="15.75">
      <c r="A28" s="10" t="s">
        <v>27</v>
      </c>
      <c r="B28" s="6"/>
      <c r="C28" s="52">
        <f>(C7+C12-12)/C23</f>
        <v>0.55208333333333337</v>
      </c>
      <c r="D28" s="52">
        <f>(D7+D12)/D23</f>
        <v>0.6470588235294118</v>
      </c>
      <c r="E28" s="53"/>
      <c r="F28" s="52">
        <f>F7/F23</f>
        <v>0.75735294117647056</v>
      </c>
      <c r="G28" s="54"/>
    </row>
    <row r="29" spans="1:7" hidden="1">
      <c r="A29" s="55" t="s">
        <v>28</v>
      </c>
      <c r="B29" s="56"/>
      <c r="C29" s="57">
        <f>(C7+D7)/C1</f>
        <v>0.68333333333333335</v>
      </c>
      <c r="D29" s="57">
        <v>0</v>
      </c>
      <c r="E29" s="56"/>
      <c r="F29" s="57">
        <v>0.56000000000000005</v>
      </c>
      <c r="G29" s="58" t="s">
        <v>29</v>
      </c>
    </row>
    <row r="30" spans="1:7">
      <c r="A30" s="5"/>
      <c r="B30" s="6"/>
      <c r="C30" s="6"/>
      <c r="D30" s="6"/>
      <c r="E30" s="6"/>
      <c r="F30" s="6"/>
      <c r="G30" s="13"/>
    </row>
    <row r="31" spans="1:7">
      <c r="A31" s="10" t="s">
        <v>30</v>
      </c>
      <c r="B31" s="6"/>
      <c r="C31" s="7">
        <v>-2</v>
      </c>
      <c r="D31" s="7">
        <v>-8</v>
      </c>
      <c r="E31" s="7"/>
      <c r="F31" s="7">
        <v>-6</v>
      </c>
      <c r="G31" s="45">
        <f>F31+D31+C31</f>
        <v>-16</v>
      </c>
    </row>
    <row r="32" spans="1:7">
      <c r="A32" s="10" t="s">
        <v>31</v>
      </c>
      <c r="B32" s="6"/>
      <c r="C32" s="7">
        <v>10</v>
      </c>
      <c r="D32" s="7">
        <v>7</v>
      </c>
      <c r="E32" s="7"/>
      <c r="F32" s="26">
        <v>1</v>
      </c>
      <c r="G32" s="45" t="s">
        <v>32</v>
      </c>
    </row>
    <row r="33" spans="1:7" hidden="1">
      <c r="A33" s="10" t="s">
        <v>33</v>
      </c>
      <c r="B33" s="6"/>
      <c r="C33" s="59">
        <f>'[1]Budget for Funds'!B20*[1]CIS!C33</f>
        <v>675301.4050909091</v>
      </c>
      <c r="D33" s="59">
        <f>'[1]Budget for Funds'!B20*[1]CIS!D33</f>
        <v>302478.75436363637</v>
      </c>
      <c r="E33" s="59"/>
      <c r="F33" s="59">
        <f>'[1]Budget for Funds'!B20*[1]CIS!F33</f>
        <v>956676.99054545455</v>
      </c>
      <c r="G33" s="60">
        <f>F33+D33+C33</f>
        <v>1934457.15</v>
      </c>
    </row>
    <row r="34" spans="1:7" hidden="1">
      <c r="A34" s="10" t="s">
        <v>34</v>
      </c>
      <c r="B34" s="6"/>
      <c r="C34" s="61">
        <f>C23/G23</f>
        <v>0.33922261484098942</v>
      </c>
      <c r="D34" s="61">
        <f>D23/G23</f>
        <v>0.18021201413427562</v>
      </c>
      <c r="E34" s="61"/>
      <c r="F34" s="61">
        <f>F23/G23</f>
        <v>0.48056537102473496</v>
      </c>
      <c r="G34" s="62">
        <f>F34+D34+C34</f>
        <v>1</v>
      </c>
    </row>
    <row r="35" spans="1:7" hidden="1">
      <c r="A35" s="63" t="s">
        <v>35</v>
      </c>
      <c r="B35" s="64"/>
      <c r="C35" s="65">
        <f>C24-C33</f>
        <v>-554807.4050909091</v>
      </c>
      <c r="D35" s="65">
        <f>D24-D33</f>
        <v>856281.5656363637</v>
      </c>
      <c r="E35" s="66"/>
      <c r="F35" s="65">
        <f>F24-F33</f>
        <v>-244539.41054545459</v>
      </c>
      <c r="G35" s="67">
        <f>F35+D35+C35</f>
        <v>56934.75</v>
      </c>
    </row>
    <row r="36" spans="1:7" ht="15.75" thickBot="1">
      <c r="A36" s="68"/>
      <c r="B36" s="69"/>
      <c r="C36" s="69"/>
      <c r="D36" s="69"/>
      <c r="E36" s="69"/>
      <c r="F36" s="69"/>
      <c r="G36" s="70"/>
    </row>
    <row r="37" spans="1:7">
      <c r="G37" s="71"/>
    </row>
    <row r="38" spans="1:7">
      <c r="C38" s="88" t="s">
        <v>132</v>
      </c>
      <c r="D38" s="88"/>
      <c r="E38" s="88"/>
      <c r="F38" s="88"/>
      <c r="G38" s="71"/>
    </row>
    <row r="39" spans="1:7">
      <c r="G39" s="71"/>
    </row>
    <row r="40" spans="1:7">
      <c r="G40" s="71"/>
    </row>
    <row r="41" spans="1:7">
      <c r="G41" s="71"/>
    </row>
    <row r="42" spans="1:7">
      <c r="G42" s="71"/>
    </row>
    <row r="43" spans="1:7">
      <c r="G43" s="71"/>
    </row>
    <row r="44" spans="1:7">
      <c r="G44" s="71"/>
    </row>
    <row r="45" spans="1:7">
      <c r="G45" s="71"/>
    </row>
    <row r="46" spans="1:7">
      <c r="G46" s="71"/>
    </row>
    <row r="47" spans="1:7">
      <c r="G47" s="71"/>
    </row>
    <row r="48" spans="1:7">
      <c r="G48" s="71"/>
    </row>
    <row r="49" spans="7:7">
      <c r="G49" s="71"/>
    </row>
    <row r="50" spans="7:7">
      <c r="G50" s="71"/>
    </row>
    <row r="51" spans="7:7">
      <c r="G51" s="71"/>
    </row>
    <row r="52" spans="7:7">
      <c r="G52" s="71"/>
    </row>
    <row r="53" spans="7:7">
      <c r="G53" s="71"/>
    </row>
    <row r="54" spans="7:7">
      <c r="G54" s="71"/>
    </row>
    <row r="55" spans="7:7">
      <c r="G55" s="71"/>
    </row>
    <row r="56" spans="7:7">
      <c r="G56" s="71"/>
    </row>
    <row r="57" spans="7:7">
      <c r="G57" s="71"/>
    </row>
    <row r="58" spans="7:7">
      <c r="G58" s="71"/>
    </row>
    <row r="59" spans="7:7">
      <c r="G59" s="71"/>
    </row>
    <row r="60" spans="7:7">
      <c r="G60" s="71"/>
    </row>
    <row r="61" spans="7:7">
      <c r="G61" s="71"/>
    </row>
    <row r="62" spans="7:7">
      <c r="G62" s="71"/>
    </row>
    <row r="63" spans="7:7">
      <c r="G63" s="71"/>
    </row>
    <row r="64" spans="7:7">
      <c r="G64" s="71"/>
    </row>
    <row r="65" spans="7:7">
      <c r="G65" s="71"/>
    </row>
    <row r="66" spans="7:7">
      <c r="G66" s="71"/>
    </row>
    <row r="67" spans="7:7">
      <c r="G67" s="71"/>
    </row>
    <row r="68" spans="7:7">
      <c r="G68" s="71"/>
    </row>
    <row r="69" spans="7:7">
      <c r="G69" s="71"/>
    </row>
    <row r="70" spans="7:7">
      <c r="G70" s="71"/>
    </row>
    <row r="71" spans="7:7">
      <c r="G71" s="72"/>
    </row>
    <row r="72" spans="7:7">
      <c r="G72" s="72"/>
    </row>
    <row r="73" spans="7:7">
      <c r="G73" s="72"/>
    </row>
    <row r="74" spans="7:7">
      <c r="G74" s="72"/>
    </row>
    <row r="75" spans="7:7">
      <c r="G75" s="72"/>
    </row>
    <row r="76" spans="7:7">
      <c r="G76" s="72"/>
    </row>
    <row r="77" spans="7:7">
      <c r="G77" s="72"/>
    </row>
    <row r="78" spans="7:7">
      <c r="G78" s="72"/>
    </row>
    <row r="79" spans="7:7">
      <c r="G79" s="72"/>
    </row>
    <row r="80" spans="7:7">
      <c r="G80" s="72"/>
    </row>
    <row r="81" spans="7:7">
      <c r="G81" s="72"/>
    </row>
    <row r="82" spans="7:7">
      <c r="G82" s="72"/>
    </row>
    <row r="83" spans="7:7">
      <c r="G83" s="72"/>
    </row>
    <row r="84" spans="7:7">
      <c r="G84" s="72"/>
    </row>
    <row r="85" spans="7:7">
      <c r="G85" s="72"/>
    </row>
    <row r="86" spans="7:7">
      <c r="G86" s="72"/>
    </row>
    <row r="87" spans="7:7">
      <c r="G87" s="72"/>
    </row>
    <row r="88" spans="7:7">
      <c r="G88" s="72"/>
    </row>
    <row r="89" spans="7:7">
      <c r="G89" s="72"/>
    </row>
    <row r="90" spans="7:7">
      <c r="G90" s="72"/>
    </row>
    <row r="91" spans="7:7">
      <c r="G91" s="72"/>
    </row>
    <row r="92" spans="7:7">
      <c r="G92" s="72"/>
    </row>
    <row r="93" spans="7:7">
      <c r="G93" s="72"/>
    </row>
    <row r="94" spans="7:7">
      <c r="G94" s="72"/>
    </row>
    <row r="95" spans="7:7">
      <c r="G95" s="7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F27" sqref="F27"/>
    </sheetView>
  </sheetViews>
  <sheetFormatPr defaultRowHeight="15"/>
  <cols>
    <col min="1" max="1" width="16" customWidth="1"/>
    <col min="2" max="2" width="12.42578125" customWidth="1"/>
  </cols>
  <sheetData>
    <row r="1" spans="1:16" ht="15.75" thickBot="1">
      <c r="A1" s="73" t="s">
        <v>38</v>
      </c>
      <c r="B1" s="74" t="s">
        <v>39</v>
      </c>
      <c r="C1" s="74" t="s">
        <v>40</v>
      </c>
      <c r="D1" s="74" t="s">
        <v>41</v>
      </c>
      <c r="E1" s="75" t="s">
        <v>42</v>
      </c>
      <c r="F1" s="76"/>
      <c r="I1" s="77" t="s">
        <v>39</v>
      </c>
      <c r="J1" s="78" t="s">
        <v>43</v>
      </c>
      <c r="K1" s="79" t="s">
        <v>41</v>
      </c>
      <c r="L1" s="74" t="s">
        <v>44</v>
      </c>
      <c r="M1" s="74"/>
      <c r="N1" s="75"/>
      <c r="O1" s="80"/>
    </row>
    <row r="2" spans="1:16">
      <c r="A2" t="s">
        <v>45</v>
      </c>
      <c r="B2" s="72">
        <v>2</v>
      </c>
      <c r="C2" s="72"/>
      <c r="D2" s="72"/>
      <c r="E2" s="72"/>
      <c r="I2" s="72">
        <v>0</v>
      </c>
      <c r="J2" s="72"/>
      <c r="K2" s="72">
        <v>1</v>
      </c>
      <c r="L2" t="s">
        <v>46</v>
      </c>
      <c r="P2" t="s">
        <v>47</v>
      </c>
    </row>
    <row r="3" spans="1:16">
      <c r="A3" t="s">
        <v>48</v>
      </c>
      <c r="B3" s="72">
        <v>1</v>
      </c>
      <c r="C3" s="72">
        <v>1</v>
      </c>
      <c r="D3" s="72"/>
      <c r="E3" s="72"/>
      <c r="I3" s="72"/>
      <c r="J3" s="72"/>
      <c r="K3" s="72"/>
    </row>
    <row r="4" spans="1:16">
      <c r="A4" t="s">
        <v>49</v>
      </c>
      <c r="B4" s="72"/>
      <c r="C4" s="72"/>
      <c r="D4" s="72"/>
      <c r="E4" s="72"/>
      <c r="I4" s="72"/>
      <c r="J4" s="72"/>
      <c r="K4" s="72"/>
    </row>
    <row r="5" spans="1:16">
      <c r="A5" t="s">
        <v>50</v>
      </c>
      <c r="B5" s="72">
        <v>1</v>
      </c>
      <c r="C5" s="72">
        <v>2</v>
      </c>
      <c r="D5" s="72">
        <v>1</v>
      </c>
      <c r="E5" s="72"/>
      <c r="F5" t="s">
        <v>51</v>
      </c>
      <c r="I5" s="72">
        <v>1</v>
      </c>
      <c r="J5" s="72">
        <v>2</v>
      </c>
      <c r="K5" s="72">
        <v>1</v>
      </c>
      <c r="L5" t="s">
        <v>52</v>
      </c>
    </row>
    <row r="6" spans="1:16">
      <c r="A6" t="s">
        <v>53</v>
      </c>
      <c r="B6" s="72">
        <v>3</v>
      </c>
      <c r="C6" s="72"/>
      <c r="D6" s="72">
        <v>2</v>
      </c>
      <c r="E6" s="72"/>
      <c r="F6" t="s">
        <v>54</v>
      </c>
      <c r="I6" s="72">
        <v>2</v>
      </c>
      <c r="J6" s="72"/>
      <c r="K6" s="72">
        <v>1</v>
      </c>
      <c r="L6" t="s">
        <v>55</v>
      </c>
    </row>
    <row r="7" spans="1:16">
      <c r="A7" t="s">
        <v>56</v>
      </c>
      <c r="B7" s="72">
        <v>1</v>
      </c>
      <c r="C7" s="72"/>
      <c r="D7" s="72"/>
      <c r="E7" s="72"/>
      <c r="I7" s="72"/>
      <c r="J7" s="72"/>
      <c r="K7" s="72" t="s">
        <v>57</v>
      </c>
    </row>
    <row r="8" spans="1:16">
      <c r="A8" t="s">
        <v>58</v>
      </c>
      <c r="B8" s="72">
        <v>1</v>
      </c>
      <c r="C8" s="72"/>
      <c r="D8" s="72"/>
      <c r="E8" s="72"/>
      <c r="I8" s="72">
        <v>1</v>
      </c>
      <c r="J8" s="72"/>
      <c r="K8" s="72"/>
    </row>
    <row r="9" spans="1:16">
      <c r="A9" t="s">
        <v>59</v>
      </c>
      <c r="B9" s="72">
        <v>3</v>
      </c>
      <c r="C9" s="72"/>
      <c r="D9" s="72"/>
      <c r="E9" s="72"/>
      <c r="F9" t="s">
        <v>60</v>
      </c>
      <c r="H9" s="81"/>
      <c r="I9" s="82" t="s">
        <v>61</v>
      </c>
      <c r="J9" s="82"/>
      <c r="K9" s="72"/>
    </row>
    <row r="10" spans="1:16">
      <c r="A10" t="s">
        <v>62</v>
      </c>
      <c r="B10" s="72"/>
      <c r="C10" s="72"/>
      <c r="D10" s="72"/>
      <c r="E10" s="72"/>
      <c r="I10" s="72"/>
      <c r="J10" s="72"/>
      <c r="K10" s="72"/>
      <c r="N10" s="8"/>
      <c r="O10" s="6"/>
      <c r="P10" s="6"/>
    </row>
    <row r="11" spans="1:16">
      <c r="A11" t="s">
        <v>63</v>
      </c>
      <c r="B11" s="72"/>
      <c r="C11" s="72"/>
      <c r="D11" s="72"/>
      <c r="E11" s="72"/>
      <c r="I11" s="72"/>
      <c r="J11" s="72"/>
      <c r="K11" s="72"/>
      <c r="N11" s="6"/>
      <c r="O11" s="6"/>
      <c r="P11" s="6"/>
    </row>
    <row r="12" spans="1:16">
      <c r="A12" t="s">
        <v>64</v>
      </c>
      <c r="B12" s="72"/>
      <c r="C12" s="72"/>
      <c r="D12" s="72">
        <v>1</v>
      </c>
      <c r="E12" s="72"/>
      <c r="F12" t="s">
        <v>65</v>
      </c>
      <c r="I12" s="72"/>
      <c r="J12" s="72"/>
      <c r="K12" s="72">
        <v>1</v>
      </c>
      <c r="N12" s="6"/>
      <c r="O12" s="6"/>
      <c r="P12" s="6"/>
    </row>
    <row r="13" spans="1:16">
      <c r="A13" t="s">
        <v>66</v>
      </c>
      <c r="B13" s="72"/>
      <c r="C13" s="72"/>
      <c r="D13" s="72">
        <v>1</v>
      </c>
      <c r="E13" s="72"/>
      <c r="F13" t="s">
        <v>67</v>
      </c>
      <c r="I13" s="72"/>
      <c r="J13" s="72"/>
      <c r="K13" s="72"/>
      <c r="N13" s="8"/>
      <c r="O13" s="8"/>
      <c r="P13" s="6"/>
    </row>
    <row r="14" spans="1:16" ht="15.75" thickBot="1">
      <c r="A14" t="s">
        <v>68</v>
      </c>
      <c r="B14" s="72"/>
      <c r="C14" s="72"/>
      <c r="D14" s="72"/>
      <c r="E14" s="72"/>
      <c r="I14" s="72"/>
      <c r="J14" s="72"/>
      <c r="K14" s="72"/>
      <c r="N14" s="6"/>
      <c r="O14" s="6"/>
      <c r="P14" s="6"/>
    </row>
    <row r="15" spans="1:16">
      <c r="A15" t="s">
        <v>69</v>
      </c>
      <c r="B15" s="72"/>
      <c r="C15" s="72"/>
      <c r="D15" s="72"/>
      <c r="E15" s="72"/>
      <c r="F15" s="83" t="s">
        <v>22</v>
      </c>
      <c r="G15" s="84"/>
      <c r="H15" s="85"/>
      <c r="I15" s="72"/>
      <c r="J15" s="72"/>
      <c r="K15" s="72"/>
      <c r="N15" s="8"/>
      <c r="O15" s="8"/>
      <c r="P15" s="6"/>
    </row>
    <row r="16" spans="1:16">
      <c r="B16" s="72"/>
      <c r="C16" s="72"/>
      <c r="D16" s="72"/>
      <c r="E16" s="72"/>
      <c r="F16" s="5">
        <v>56</v>
      </c>
      <c r="G16" s="6" t="s">
        <v>70</v>
      </c>
      <c r="H16" s="86"/>
      <c r="I16" s="72"/>
      <c r="J16" s="72"/>
      <c r="K16" s="72"/>
      <c r="N16" s="6"/>
      <c r="O16" s="6"/>
      <c r="P16" s="6"/>
    </row>
    <row r="17" spans="1:16">
      <c r="B17" s="72"/>
      <c r="C17" s="72"/>
      <c r="D17" s="72"/>
      <c r="E17" s="72"/>
      <c r="F17" s="87">
        <v>16</v>
      </c>
      <c r="G17" s="6" t="s">
        <v>71</v>
      </c>
      <c r="H17" s="86"/>
      <c r="I17" s="72"/>
      <c r="J17" s="72"/>
      <c r="K17" s="72"/>
      <c r="N17" s="6"/>
      <c r="O17" s="6"/>
      <c r="P17" s="6"/>
    </row>
    <row r="18" spans="1:16">
      <c r="A18" s="88" t="s">
        <v>72</v>
      </c>
      <c r="B18" s="89">
        <f>SUM(B2:B17)</f>
        <v>12</v>
      </c>
      <c r="C18" s="89">
        <f>SUM(C2:C17)</f>
        <v>3</v>
      </c>
      <c r="D18" s="89">
        <v>5</v>
      </c>
      <c r="E18" s="72"/>
      <c r="F18" s="10">
        <f>SUM(F16:F17)</f>
        <v>72</v>
      </c>
      <c r="G18" s="8" t="s">
        <v>73</v>
      </c>
      <c r="H18" s="86"/>
      <c r="I18" s="89">
        <f>SUM(I2:I17)</f>
        <v>4</v>
      </c>
      <c r="J18" s="89">
        <f>SUM(J2:J17)</f>
        <v>2</v>
      </c>
      <c r="K18" s="89">
        <f>SUM(K2:K17)</f>
        <v>4</v>
      </c>
      <c r="L18" s="88" t="s">
        <v>74</v>
      </c>
      <c r="N18" s="6"/>
      <c r="O18" s="6"/>
      <c r="P18" s="6"/>
    </row>
    <row r="19" spans="1:16">
      <c r="A19" s="88" t="s">
        <v>75</v>
      </c>
      <c r="B19" s="90">
        <f>B18*8-5</f>
        <v>91</v>
      </c>
      <c r="C19" s="90">
        <f>C18*17</f>
        <v>51</v>
      </c>
      <c r="D19" s="90">
        <v>20</v>
      </c>
      <c r="E19" s="88"/>
      <c r="F19" s="5"/>
      <c r="G19" s="6"/>
      <c r="H19" s="86"/>
      <c r="I19" s="90">
        <f>I18*8</f>
        <v>32</v>
      </c>
      <c r="J19" s="90">
        <f>J18*17</f>
        <v>34</v>
      </c>
      <c r="K19" s="90">
        <v>15</v>
      </c>
      <c r="L19" s="88" t="s">
        <v>76</v>
      </c>
    </row>
    <row r="20" spans="1:16">
      <c r="B20" s="88" t="s">
        <v>77</v>
      </c>
      <c r="D20" t="s">
        <v>79</v>
      </c>
      <c r="F20" s="10">
        <f>J19+K19</f>
        <v>49</v>
      </c>
      <c r="G20" s="8" t="s">
        <v>40</v>
      </c>
      <c r="H20" s="86"/>
    </row>
    <row r="21" spans="1:16" ht="15.75" thickBot="1">
      <c r="F21" s="91">
        <f>F20+F18</f>
        <v>121</v>
      </c>
      <c r="G21" s="69" t="s">
        <v>78</v>
      </c>
      <c r="H21" s="9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workbookViewId="0">
      <selection activeCell="B3" sqref="B3"/>
    </sheetView>
  </sheetViews>
  <sheetFormatPr defaultRowHeight="15"/>
  <cols>
    <col min="2" max="2" width="13.28515625" customWidth="1"/>
    <col min="4" max="4" width="11.85546875" bestFit="1" customWidth="1"/>
    <col min="6" max="6" width="19.28515625" customWidth="1"/>
    <col min="7" max="7" width="13.7109375" bestFit="1" customWidth="1"/>
    <col min="11" max="11" width="1.85546875" customWidth="1"/>
    <col min="12" max="12" width="14.28515625" customWidth="1"/>
    <col min="13" max="13" width="13.5703125" customWidth="1"/>
    <col min="14" max="14" width="14.85546875" customWidth="1"/>
    <col min="16" max="16" width="16.28515625" customWidth="1"/>
    <col min="17" max="17" width="10.5703125" customWidth="1"/>
    <col min="19" max="19" width="12.140625" customWidth="1"/>
    <col min="23" max="24" width="15" customWidth="1"/>
    <col min="25" max="25" width="11.85546875" bestFit="1" customWidth="1"/>
    <col min="27" max="27" width="11.85546875" bestFit="1" customWidth="1"/>
  </cols>
  <sheetData>
    <row r="1" spans="1:27">
      <c r="A1" s="83" t="s">
        <v>92</v>
      </c>
      <c r="B1" s="84"/>
      <c r="C1" s="99" t="s">
        <v>93</v>
      </c>
      <c r="D1" s="85"/>
    </row>
    <row r="2" spans="1:27">
      <c r="A2" s="5" t="s">
        <v>39</v>
      </c>
      <c r="B2" s="6">
        <v>8</v>
      </c>
      <c r="C2" s="6" t="s">
        <v>94</v>
      </c>
      <c r="D2" s="86"/>
    </row>
    <row r="3" spans="1:27">
      <c r="A3" s="5" t="s">
        <v>40</v>
      </c>
      <c r="B3" s="6">
        <v>7</v>
      </c>
      <c r="C3" s="6" t="s">
        <v>40</v>
      </c>
      <c r="D3" s="86"/>
    </row>
    <row r="4" spans="1:27">
      <c r="A4" s="5" t="s">
        <v>95</v>
      </c>
      <c r="B4" s="100">
        <v>1</v>
      </c>
      <c r="C4" s="6" t="s">
        <v>40</v>
      </c>
      <c r="D4" s="86"/>
    </row>
    <row r="5" spans="1:27" ht="15.75" thickBot="1">
      <c r="A5" s="68"/>
      <c r="B5" s="101">
        <f>SUM(B2:B4)</f>
        <v>16</v>
      </c>
      <c r="C5" s="69"/>
      <c r="D5" s="92"/>
      <c r="W5" s="53"/>
      <c r="X5" s="6"/>
      <c r="Y5" s="6"/>
      <c r="Z5" s="6"/>
      <c r="AA5" s="6"/>
    </row>
    <row r="6" spans="1:27" ht="15.75" thickBot="1">
      <c r="L6" s="93"/>
      <c r="M6" s="84"/>
      <c r="N6" s="99" t="s">
        <v>100</v>
      </c>
      <c r="O6" s="84"/>
      <c r="P6" s="84"/>
      <c r="Q6" s="84"/>
      <c r="R6" s="102" t="s">
        <v>101</v>
      </c>
      <c r="S6" s="99" t="s">
        <v>102</v>
      </c>
      <c r="T6" s="85"/>
      <c r="W6" s="6"/>
      <c r="X6" s="104"/>
      <c r="Y6" s="104"/>
      <c r="Z6" s="61"/>
      <c r="AA6" s="104"/>
    </row>
    <row r="7" spans="1:27" ht="16.5">
      <c r="A7" s="93"/>
      <c r="B7" s="94">
        <f>S13*2</f>
        <v>319578.75</v>
      </c>
      <c r="C7" s="84" t="s">
        <v>80</v>
      </c>
      <c r="D7" s="84"/>
      <c r="E7" s="84"/>
      <c r="F7" s="84"/>
      <c r="G7" s="84"/>
      <c r="H7" s="84"/>
      <c r="I7" s="84"/>
      <c r="J7" s="85"/>
      <c r="L7" s="106" t="s">
        <v>103</v>
      </c>
      <c r="M7" s="107"/>
      <c r="N7" s="107"/>
      <c r="O7" s="107"/>
      <c r="P7" s="107"/>
      <c r="Q7" s="107"/>
      <c r="R7" s="6">
        <v>51</v>
      </c>
      <c r="S7" s="108">
        <f>R7*750</f>
        <v>38250</v>
      </c>
      <c r="T7" s="86"/>
      <c r="W7" s="6"/>
      <c r="X7" s="6"/>
      <c r="Y7" s="6"/>
      <c r="Z7" s="6"/>
      <c r="AA7" s="6"/>
    </row>
    <row r="8" spans="1:27" ht="16.5">
      <c r="A8" s="5"/>
      <c r="B8" s="95">
        <v>15000</v>
      </c>
      <c r="C8" s="6" t="s">
        <v>81</v>
      </c>
      <c r="D8" s="6"/>
      <c r="E8" s="6"/>
      <c r="F8" s="6"/>
      <c r="G8" s="6"/>
      <c r="H8" s="6"/>
      <c r="I8" s="6"/>
      <c r="J8" s="86"/>
      <c r="L8" s="106" t="s">
        <v>104</v>
      </c>
      <c r="M8" s="107"/>
      <c r="N8" s="107"/>
      <c r="O8" s="107"/>
      <c r="P8" s="107"/>
      <c r="Q8" s="107"/>
      <c r="R8" s="6">
        <v>32</v>
      </c>
      <c r="S8" s="108">
        <f>R8*1000</f>
        <v>32000</v>
      </c>
      <c r="T8" s="86"/>
      <c r="W8" s="6"/>
      <c r="X8" s="6"/>
      <c r="Y8" s="6"/>
      <c r="Z8" s="6"/>
      <c r="AA8" s="6"/>
    </row>
    <row r="9" spans="1:27" ht="16.5">
      <c r="A9" s="5"/>
      <c r="B9" s="95">
        <v>28500</v>
      </c>
      <c r="C9" s="6" t="s">
        <v>82</v>
      </c>
      <c r="D9" s="6"/>
      <c r="E9" s="6"/>
      <c r="F9" s="6"/>
      <c r="G9" s="6"/>
      <c r="H9" s="6"/>
      <c r="I9" s="6"/>
      <c r="J9" s="86"/>
      <c r="L9" s="106" t="s">
        <v>106</v>
      </c>
      <c r="M9" s="107"/>
      <c r="N9" s="107"/>
      <c r="O9" s="107"/>
      <c r="P9" s="107"/>
      <c r="Q9" s="107"/>
      <c r="R9" s="6">
        <v>46</v>
      </c>
      <c r="S9" s="109">
        <f>R9*1500</f>
        <v>69000</v>
      </c>
      <c r="T9" s="86"/>
      <c r="W9" s="6"/>
      <c r="X9" s="6"/>
      <c r="Y9" s="6"/>
      <c r="Z9" s="6"/>
      <c r="AA9" s="6"/>
    </row>
    <row r="10" spans="1:27">
      <c r="A10" s="5"/>
      <c r="B10" s="95">
        <v>190944</v>
      </c>
      <c r="C10" s="6" t="s">
        <v>83</v>
      </c>
      <c r="D10" s="6"/>
      <c r="E10" s="6"/>
      <c r="F10" s="6"/>
      <c r="G10" s="6"/>
      <c r="H10" s="6"/>
      <c r="I10" s="6" t="s">
        <v>84</v>
      </c>
      <c r="J10" s="86"/>
      <c r="L10" s="5"/>
      <c r="M10" s="6"/>
      <c r="N10" s="6"/>
      <c r="O10" s="6"/>
      <c r="P10" s="6"/>
      <c r="Q10" s="6"/>
      <c r="R10" s="8">
        <f>SUM(R7:R9)</f>
        <v>129</v>
      </c>
      <c r="S10" s="108">
        <f>SUM(S7:S9)</f>
        <v>139250</v>
      </c>
      <c r="T10" s="86"/>
      <c r="W10" s="6"/>
      <c r="X10" s="6"/>
      <c r="Y10" s="6"/>
      <c r="Z10" s="6"/>
      <c r="AA10" s="6"/>
    </row>
    <row r="11" spans="1:27">
      <c r="A11" s="5"/>
      <c r="B11" s="95">
        <v>0</v>
      </c>
      <c r="C11" s="6"/>
      <c r="D11" s="6"/>
      <c r="E11" s="6"/>
      <c r="F11" s="6"/>
      <c r="G11" s="6"/>
      <c r="H11" s="6"/>
      <c r="I11" s="6"/>
      <c r="J11" s="86"/>
      <c r="L11" s="5"/>
      <c r="M11" s="6"/>
      <c r="N11" s="100" t="s">
        <v>107</v>
      </c>
      <c r="O11" s="100"/>
      <c r="P11" s="6"/>
      <c r="Q11" s="6"/>
      <c r="R11" s="6"/>
      <c r="S11" s="109">
        <f>S10*7.25%</f>
        <v>10095.625</v>
      </c>
      <c r="T11" s="86" t="s">
        <v>108</v>
      </c>
    </row>
    <row r="12" spans="1:27">
      <c r="A12" s="5"/>
      <c r="B12" s="95">
        <v>204500</v>
      </c>
      <c r="C12" s="6" t="s">
        <v>85</v>
      </c>
      <c r="D12" s="6"/>
      <c r="E12" s="6"/>
      <c r="F12" s="6"/>
      <c r="G12" s="6"/>
      <c r="H12" s="6"/>
      <c r="I12" s="6"/>
      <c r="J12" s="86"/>
      <c r="L12" s="5"/>
      <c r="M12" s="6"/>
      <c r="N12" s="108">
        <f>S10*0.075</f>
        <v>10443.75</v>
      </c>
      <c r="O12" s="6"/>
      <c r="P12" s="6"/>
      <c r="Q12" s="6"/>
      <c r="R12" s="6"/>
      <c r="S12" s="110">
        <f>SUM(S10:S11)</f>
        <v>149345.625</v>
      </c>
      <c r="T12" s="86"/>
    </row>
    <row r="13" spans="1:27" ht="15.75" thickBot="1">
      <c r="A13" s="5"/>
      <c r="B13" s="95">
        <v>90000</v>
      </c>
      <c r="C13" s="6" t="s">
        <v>86</v>
      </c>
      <c r="D13" s="6"/>
      <c r="E13" s="6"/>
      <c r="F13" s="6"/>
      <c r="G13" s="6"/>
      <c r="H13" s="6"/>
      <c r="I13" s="6"/>
      <c r="J13" s="86"/>
      <c r="L13" s="68"/>
      <c r="M13" s="69"/>
      <c r="N13" s="69"/>
      <c r="O13" s="69"/>
      <c r="P13" s="69"/>
      <c r="Q13" s="69" t="s">
        <v>109</v>
      </c>
      <c r="R13" s="69"/>
      <c r="S13" s="111">
        <f>S12+N12</f>
        <v>159789.375</v>
      </c>
      <c r="T13" s="92"/>
    </row>
    <row r="14" spans="1:27" ht="15.75" thickBot="1">
      <c r="A14" s="5"/>
      <c r="B14" s="95">
        <v>105700</v>
      </c>
      <c r="C14" s="17" t="s">
        <v>87</v>
      </c>
      <c r="D14" s="6"/>
      <c r="E14" s="6"/>
      <c r="F14" s="6"/>
      <c r="G14" s="6"/>
      <c r="H14" s="6"/>
      <c r="I14" s="6"/>
      <c r="J14" s="86"/>
      <c r="L14" s="6"/>
      <c r="M14" s="6"/>
      <c r="N14" s="6"/>
      <c r="O14" s="6"/>
      <c r="P14" s="6"/>
      <c r="Q14" s="6"/>
      <c r="R14" s="6"/>
      <c r="S14" s="97"/>
      <c r="T14" s="6"/>
    </row>
    <row r="15" spans="1:27">
      <c r="A15" s="5"/>
      <c r="B15" s="95">
        <v>236468</v>
      </c>
      <c r="C15" s="17" t="s">
        <v>88</v>
      </c>
      <c r="D15" s="6"/>
      <c r="E15" s="6"/>
      <c r="F15" s="6"/>
      <c r="G15" s="6"/>
      <c r="H15" s="6"/>
      <c r="I15" s="6"/>
      <c r="J15" s="86"/>
      <c r="L15" s="93"/>
      <c r="M15" s="99" t="s">
        <v>110</v>
      </c>
      <c r="N15" s="84"/>
      <c r="O15" s="84"/>
      <c r="P15" s="84" t="s">
        <v>111</v>
      </c>
      <c r="Q15" s="84"/>
      <c r="R15" s="84">
        <v>26</v>
      </c>
      <c r="S15" s="84"/>
      <c r="T15" s="85"/>
    </row>
    <row r="16" spans="1:27">
      <c r="A16" s="5"/>
      <c r="B16" s="95">
        <v>150000</v>
      </c>
      <c r="C16" s="17" t="s">
        <v>89</v>
      </c>
      <c r="D16" s="6"/>
      <c r="E16" s="6"/>
      <c r="F16" s="6"/>
      <c r="G16" s="6"/>
      <c r="H16" s="6"/>
      <c r="I16" s="6"/>
      <c r="J16" s="86"/>
      <c r="L16" s="5"/>
      <c r="M16" s="6" t="s">
        <v>112</v>
      </c>
      <c r="N16" s="6"/>
      <c r="O16" s="6"/>
      <c r="P16" s="6" t="s">
        <v>113</v>
      </c>
      <c r="Q16" s="6"/>
      <c r="R16" s="6">
        <v>1</v>
      </c>
      <c r="S16" s="6"/>
      <c r="T16" s="86"/>
    </row>
    <row r="17" spans="1:20">
      <c r="A17" s="5"/>
      <c r="B17" s="95">
        <f>H17*1200</f>
        <v>12000</v>
      </c>
      <c r="C17" s="17" t="s">
        <v>116</v>
      </c>
      <c r="D17" s="6"/>
      <c r="E17" s="6"/>
      <c r="F17" s="6"/>
      <c r="G17" s="6" t="s">
        <v>90</v>
      </c>
      <c r="H17" s="6">
        <v>10</v>
      </c>
      <c r="I17" s="6"/>
      <c r="J17" s="86"/>
      <c r="L17" s="5"/>
      <c r="M17" s="6"/>
      <c r="N17" s="6"/>
      <c r="O17" s="6"/>
      <c r="P17" s="6" t="s">
        <v>114</v>
      </c>
      <c r="Q17" s="6"/>
      <c r="R17" s="6">
        <v>4</v>
      </c>
      <c r="S17" s="6"/>
      <c r="T17" s="86"/>
    </row>
    <row r="18" spans="1:20">
      <c r="A18" s="5"/>
      <c r="B18" s="95">
        <f>P27</f>
        <v>552921.59999999998</v>
      </c>
      <c r="C18" s="17" t="s">
        <v>128</v>
      </c>
      <c r="D18" s="6"/>
      <c r="E18" s="6"/>
      <c r="F18" s="6" t="s">
        <v>117</v>
      </c>
      <c r="G18" s="6"/>
      <c r="H18" s="6"/>
      <c r="I18" s="6"/>
      <c r="J18" s="86"/>
      <c r="L18" s="5"/>
      <c r="M18" s="6"/>
      <c r="N18" s="6"/>
      <c r="O18" s="6"/>
      <c r="P18" s="17" t="s">
        <v>115</v>
      </c>
      <c r="Q18" s="6"/>
      <c r="R18" s="112">
        <v>17</v>
      </c>
      <c r="S18" s="6"/>
      <c r="T18" s="86"/>
    </row>
    <row r="19" spans="1:20">
      <c r="A19" s="5"/>
      <c r="B19" s="96">
        <f>H19*1200</f>
        <v>45600</v>
      </c>
      <c r="C19" s="17" t="s">
        <v>91</v>
      </c>
      <c r="D19" s="6"/>
      <c r="E19" s="6"/>
      <c r="F19" s="6"/>
      <c r="G19" s="6" t="s">
        <v>90</v>
      </c>
      <c r="H19" s="6">
        <v>38</v>
      </c>
      <c r="I19" s="6"/>
      <c r="J19" s="86"/>
      <c r="L19" s="5"/>
      <c r="M19" s="6"/>
      <c r="N19" s="6"/>
      <c r="O19" s="6"/>
      <c r="P19" s="17"/>
      <c r="Q19" s="6"/>
      <c r="R19" s="6">
        <f>SUM(R15:R18)</f>
        <v>48</v>
      </c>
      <c r="S19" s="6"/>
      <c r="T19" s="86"/>
    </row>
    <row r="20" spans="1:20">
      <c r="A20" s="5"/>
      <c r="B20" s="97">
        <f>SUM(B7:B19)</f>
        <v>1951212.35</v>
      </c>
      <c r="C20" s="6"/>
      <c r="D20" s="6"/>
      <c r="E20" s="6"/>
      <c r="F20" s="6"/>
      <c r="G20" s="98"/>
      <c r="H20" s="6"/>
      <c r="I20" s="6"/>
      <c r="J20" s="86"/>
      <c r="L20" s="5"/>
      <c r="M20" s="6"/>
      <c r="N20" s="6"/>
      <c r="O20" s="6"/>
      <c r="P20" s="6"/>
      <c r="Q20" s="6"/>
      <c r="R20" s="6"/>
      <c r="S20" s="6"/>
      <c r="T20" s="86"/>
    </row>
    <row r="21" spans="1:20" ht="15.75" thickBot="1">
      <c r="A21" s="68"/>
      <c r="B21" s="69"/>
      <c r="C21" s="69"/>
      <c r="D21" s="69"/>
      <c r="E21" s="69"/>
      <c r="F21" s="69"/>
      <c r="G21" s="69"/>
      <c r="H21" s="69"/>
      <c r="I21" s="69"/>
      <c r="J21" s="92"/>
      <c r="L21" s="5"/>
      <c r="M21" s="6"/>
      <c r="N21" s="6"/>
      <c r="O21" s="6"/>
      <c r="P21" s="17"/>
      <c r="Q21" s="6"/>
      <c r="R21" s="6"/>
      <c r="S21" s="6"/>
      <c r="T21" s="86"/>
    </row>
    <row r="22" spans="1:20" ht="15.75" thickBot="1">
      <c r="L22" s="5"/>
      <c r="M22" s="6"/>
      <c r="N22" s="6"/>
      <c r="O22" s="6"/>
      <c r="P22" s="6"/>
      <c r="Q22" s="6"/>
      <c r="R22" s="6"/>
      <c r="S22" s="6"/>
      <c r="T22" s="86"/>
    </row>
    <row r="23" spans="1:20" ht="15.75" thickBot="1">
      <c r="A23" s="117"/>
      <c r="B23" s="118" t="s">
        <v>120</v>
      </c>
      <c r="C23" s="118" t="s">
        <v>121</v>
      </c>
      <c r="D23" s="118"/>
      <c r="E23" s="118" t="s">
        <v>99</v>
      </c>
      <c r="F23" s="119" t="s">
        <v>122</v>
      </c>
      <c r="G23" s="120" t="s">
        <v>127</v>
      </c>
      <c r="H23" s="121"/>
      <c r="I23" s="121"/>
      <c r="J23" s="122"/>
      <c r="L23" s="5"/>
      <c r="M23" s="6"/>
      <c r="N23" s="6"/>
      <c r="O23" s="6"/>
      <c r="P23" s="6"/>
      <c r="Q23" s="6"/>
      <c r="R23" s="6"/>
      <c r="S23" s="6"/>
      <c r="T23" s="86"/>
    </row>
    <row r="24" spans="1:20" ht="15.75" thickBot="1">
      <c r="A24" s="5"/>
      <c r="B24" s="53">
        <v>3</v>
      </c>
      <c r="C24" s="108">
        <v>25</v>
      </c>
      <c r="D24" s="108">
        <f>B24*C24*1760</f>
        <v>132000</v>
      </c>
      <c r="E24" s="114">
        <v>0.36</v>
      </c>
      <c r="F24" s="108">
        <f>D24*E24+D24</f>
        <v>179520</v>
      </c>
      <c r="G24" s="6"/>
      <c r="H24" s="6" t="s">
        <v>123</v>
      </c>
      <c r="I24" s="6"/>
      <c r="J24" s="86"/>
      <c r="L24" s="68"/>
      <c r="M24" s="69"/>
      <c r="N24" s="69"/>
      <c r="O24" s="69"/>
      <c r="P24" s="69"/>
      <c r="Q24" s="69"/>
      <c r="R24" s="69"/>
      <c r="S24" s="69"/>
      <c r="T24" s="92"/>
    </row>
    <row r="25" spans="1:20" ht="15.75" thickBot="1">
      <c r="A25" s="5"/>
      <c r="B25" s="53">
        <v>3</v>
      </c>
      <c r="C25" s="115">
        <v>18.75</v>
      </c>
      <c r="D25" s="108">
        <f>B25*C25*1760</f>
        <v>99000</v>
      </c>
      <c r="E25" s="114">
        <v>0.36</v>
      </c>
      <c r="F25" s="109">
        <f>D25*E25+D25</f>
        <v>134640</v>
      </c>
      <c r="G25" s="6"/>
      <c r="H25" s="6" t="s">
        <v>124</v>
      </c>
      <c r="I25" s="6"/>
      <c r="J25" s="86"/>
    </row>
    <row r="26" spans="1:20" ht="15.75" thickBot="1">
      <c r="A26" s="5"/>
      <c r="B26" s="53"/>
      <c r="C26" s="6"/>
      <c r="D26" s="6"/>
      <c r="E26" s="6"/>
      <c r="F26" s="108">
        <f>SUM(F24:F25)</f>
        <v>314160</v>
      </c>
      <c r="G26" s="108">
        <f>F26*28%</f>
        <v>87964.800000000003</v>
      </c>
      <c r="H26" s="6" t="s">
        <v>125</v>
      </c>
      <c r="I26" s="6"/>
      <c r="J26" s="86"/>
      <c r="L26" s="123" t="s">
        <v>96</v>
      </c>
      <c r="M26" s="124" t="s">
        <v>97</v>
      </c>
      <c r="N26" s="124" t="s">
        <v>98</v>
      </c>
      <c r="O26" s="124" t="s">
        <v>99</v>
      </c>
      <c r="P26" s="125" t="s">
        <v>72</v>
      </c>
    </row>
    <row r="27" spans="1:20">
      <c r="A27" s="5"/>
      <c r="B27" s="53"/>
      <c r="C27" s="6"/>
      <c r="D27" s="6"/>
      <c r="E27" s="6"/>
      <c r="F27" s="6"/>
      <c r="G27" s="6"/>
      <c r="H27" s="6"/>
      <c r="I27" s="6"/>
      <c r="J27" s="86"/>
      <c r="L27" s="103">
        <v>14</v>
      </c>
      <c r="M27" s="104">
        <v>16.5</v>
      </c>
      <c r="N27" s="104">
        <f>L27*M27*1760</f>
        <v>406560</v>
      </c>
      <c r="O27" s="61">
        <v>0.36</v>
      </c>
      <c r="P27" s="105">
        <f>N27*O27+N27</f>
        <v>552921.59999999998</v>
      </c>
    </row>
    <row r="28" spans="1:20">
      <c r="A28" s="5"/>
      <c r="B28" s="53">
        <v>2</v>
      </c>
      <c r="C28" s="115">
        <v>19</v>
      </c>
      <c r="D28" s="115">
        <f>C28*2080*B28</f>
        <v>79040</v>
      </c>
      <c r="E28" s="114">
        <v>0.36</v>
      </c>
      <c r="F28" s="115">
        <f>D28*E28+D28</f>
        <v>107494.39999999999</v>
      </c>
      <c r="G28" s="115">
        <f>F28</f>
        <v>107494.39999999999</v>
      </c>
      <c r="H28" s="17" t="s">
        <v>126</v>
      </c>
      <c r="I28" s="6"/>
      <c r="J28" s="86"/>
      <c r="L28" s="5"/>
      <c r="M28" s="6"/>
      <c r="N28" s="6"/>
      <c r="O28" s="6"/>
      <c r="P28" s="86"/>
    </row>
    <row r="29" spans="1:20" ht="15.75" thickBot="1">
      <c r="A29" s="5"/>
      <c r="B29" s="53">
        <v>8</v>
      </c>
      <c r="C29" s="115">
        <v>21</v>
      </c>
      <c r="D29" s="115">
        <f>B29*C29*2080</f>
        <v>349440</v>
      </c>
      <c r="E29" s="114">
        <v>0.36</v>
      </c>
      <c r="F29" s="115">
        <f>D29*E29+D29</f>
        <v>475238.40000000002</v>
      </c>
      <c r="G29" s="116">
        <f>F29</f>
        <v>475238.40000000002</v>
      </c>
      <c r="H29" s="17" t="s">
        <v>133</v>
      </c>
      <c r="I29" s="6"/>
      <c r="J29" s="86"/>
      <c r="L29" s="68"/>
      <c r="M29" s="69" t="s">
        <v>105</v>
      </c>
      <c r="N29" s="69"/>
      <c r="O29" s="69"/>
      <c r="P29" s="92"/>
    </row>
    <row r="30" spans="1:20">
      <c r="A30" s="5"/>
      <c r="B30" s="53"/>
      <c r="C30" s="6"/>
      <c r="D30" s="6"/>
      <c r="E30" s="6"/>
      <c r="F30" s="6"/>
      <c r="G30" s="6"/>
      <c r="H30" s="6"/>
      <c r="I30" s="6"/>
      <c r="J30" s="86"/>
    </row>
    <row r="31" spans="1:20">
      <c r="A31" s="5"/>
      <c r="B31" s="6"/>
      <c r="C31" s="6"/>
      <c r="D31" s="6"/>
      <c r="E31" s="6"/>
      <c r="F31" s="6"/>
      <c r="G31" s="97">
        <f>SUM(G26:G30)</f>
        <v>670697.60000000009</v>
      </c>
      <c r="H31" s="17" t="s">
        <v>120</v>
      </c>
      <c r="I31" s="6"/>
      <c r="J31" s="86"/>
    </row>
    <row r="32" spans="1:20" ht="15.75" thickBot="1">
      <c r="A32" s="68"/>
      <c r="B32" s="69"/>
      <c r="C32" s="69"/>
      <c r="D32" s="69"/>
      <c r="E32" s="69"/>
      <c r="F32" s="69"/>
      <c r="G32" s="69"/>
      <c r="H32" s="69"/>
      <c r="I32" s="69"/>
      <c r="J32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Board.PC -CIS</vt:lpstr>
      <vt:lpstr>Classrooms</vt:lpstr>
      <vt:lpstr>Budget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Carter</dc:creator>
  <cp:lastModifiedBy>Kim Mullinax</cp:lastModifiedBy>
  <dcterms:created xsi:type="dcterms:W3CDTF">2023-09-14T19:09:04Z</dcterms:created>
  <dcterms:modified xsi:type="dcterms:W3CDTF">2023-09-14T21:11:32Z</dcterms:modified>
</cp:coreProperties>
</file>